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Mars - 90 days" sheetId="1" r:id="rId1"/>
    <sheet name="Mars and back - 180 days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<sst xmlns="http://schemas.openxmlformats.org/spreadsheetml/2006/main" count="162" uniqueCount="66">
  <si>
    <t>Distance</t>
  </si>
  <si>
    <t>Accel</t>
  </si>
  <si>
    <t xml:space="preserve"> days</t>
  </si>
  <si>
    <t xml:space="preserve"> milligee</t>
  </si>
  <si>
    <t xml:space="preserve"> AU</t>
  </si>
  <si>
    <t>Delta V</t>
  </si>
  <si>
    <t>Peak Spd</t>
  </si>
  <si>
    <t xml:space="preserve"> km/s</t>
  </si>
  <si>
    <t xml:space="preserve"> tons</t>
  </si>
  <si>
    <t>Thrust</t>
  </si>
  <si>
    <t xml:space="preserve"> MW / N</t>
  </si>
  <si>
    <t xml:space="preserve"> kN</t>
  </si>
  <si>
    <t xml:space="preserve"> kW / kg</t>
  </si>
  <si>
    <t>ISP</t>
  </si>
  <si>
    <t xml:space="preserve"> seconds</t>
  </si>
  <si>
    <t xml:space="preserve"> kg/s</t>
  </si>
  <si>
    <t>Departure Mass</t>
  </si>
  <si>
    <t>Drive Fraction</t>
  </si>
  <si>
    <t>Tankage Fraction</t>
  </si>
  <si>
    <t>Mass ratio</t>
  </si>
  <si>
    <t>Arrival Mass</t>
  </si>
  <si>
    <t>Drive Mass</t>
  </si>
  <si>
    <t>Tankage Mass</t>
  </si>
  <si>
    <t>Gross Payload</t>
  </si>
  <si>
    <t>Thrust Spec. Power</t>
  </si>
  <si>
    <t>Drive Power</t>
  </si>
  <si>
    <t>Drive Power Density</t>
  </si>
  <si>
    <t>Propellant Consumpt</t>
  </si>
  <si>
    <t>Propellant Mass</t>
  </si>
  <si>
    <t>Max acc</t>
  </si>
  <si>
    <t>Min acc</t>
  </si>
  <si>
    <t>Keel Mass</t>
  </si>
  <si>
    <t>Keel Fraction</t>
  </si>
  <si>
    <t>Coasting</t>
  </si>
  <si>
    <t>Burn</t>
  </si>
  <si>
    <t>Average Mass</t>
  </si>
  <si>
    <t xml:space="preserve"> percent of arrival mass</t>
  </si>
  <si>
    <t xml:space="preserve"> percent of departure mass</t>
  </si>
  <si>
    <t xml:space="preserve"> percent of propellant mass</t>
  </si>
  <si>
    <t>Mission Energy</t>
  </si>
  <si>
    <t xml:space="preserve"> GW/h</t>
  </si>
  <si>
    <t xml:space="preserve"> million</t>
  </si>
  <si>
    <t>Energy Cost</t>
  </si>
  <si>
    <t>,000</t>
  </si>
  <si>
    <t xml:space="preserve">      (gross payload)</t>
  </si>
  <si>
    <t>Energy Cost / Ton</t>
  </si>
  <si>
    <t>Ticket Cost</t>
  </si>
  <si>
    <t>Berth Charge</t>
  </si>
  <si>
    <t>Carriage (energy)</t>
  </si>
  <si>
    <t>Fuel Cost</t>
  </si>
  <si>
    <t xml:space="preserve"> cents per kW/h</t>
  </si>
  <si>
    <t>Hab Mass</t>
  </si>
  <si>
    <t xml:space="preserve"> tons / psgr</t>
  </si>
  <si>
    <t xml:space="preserve"> m3 / psgr</t>
  </si>
  <si>
    <t>Hab Volume</t>
  </si>
  <si>
    <t>Mars in 90 days</t>
  </si>
  <si>
    <t>Bus Mass</t>
  </si>
  <si>
    <t xml:space="preserve">      (not including payload)</t>
  </si>
  <si>
    <t>Ship Cost</t>
  </si>
  <si>
    <t xml:space="preserve"> million per ton</t>
  </si>
  <si>
    <t>Annually</t>
  </si>
  <si>
    <t xml:space="preserve"> percent</t>
  </si>
  <si>
    <t>Trip Time</t>
  </si>
  <si>
    <t>Crew + Passengers</t>
  </si>
  <si>
    <t xml:space="preserve"> Megawatts</t>
  </si>
  <si>
    <t>Mars Round Trip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</si>
</sst>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  <numFmt numFmtId="168" formatCode="0.00000"/>
    <numFmt numFmtId="169" formatCode="0.0000"/>
    <numFmt numFmtId="170" formatCode="[$-409]dddd\,\ mmmm\ dd\,\ yyyy"/>
    <numFmt numFmtId="171" formatCode="[$-409]h:mm:ss\ AM/PM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167" fontId="0" fillId="33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36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2" spans="5:6" ht="12.75">
      <c r="E2" s="8" t="s">
        <v>55</v>
      </c>
      <c r="F2" s="9"/>
    </row>
    <row r="4" spans="2:14" ht="12.75">
      <c r="B4" t="s">
        <v>0</v>
      </c>
      <c r="C4" s="6">
        <v>0.5</v>
      </c>
      <c r="D4" t="s">
        <v>4</v>
      </c>
      <c r="F4" t="s">
        <v>16</v>
      </c>
      <c r="H4" s="5">
        <v>250</v>
      </c>
      <c r="I4" t="s">
        <v>8</v>
      </c>
      <c r="L4" t="s">
        <v>49</v>
      </c>
      <c r="M4" s="5">
        <v>20</v>
      </c>
      <c r="N4" t="s">
        <v>50</v>
      </c>
    </row>
    <row r="6" spans="2:14" ht="12.75">
      <c r="B6" t="s">
        <v>33</v>
      </c>
      <c r="C6" s="6">
        <v>0.25</v>
      </c>
      <c r="D6" t="s">
        <v>4</v>
      </c>
      <c r="F6" t="s">
        <v>17</v>
      </c>
      <c r="H6" s="5">
        <v>50</v>
      </c>
      <c r="I6" t="s">
        <v>36</v>
      </c>
      <c r="L6" t="s">
        <v>51</v>
      </c>
      <c r="M6" s="5">
        <v>5</v>
      </c>
      <c r="N6" t="s">
        <v>52</v>
      </c>
    </row>
    <row r="8" spans="2:14" ht="12.75">
      <c r="B8" t="s">
        <v>1</v>
      </c>
      <c r="C8" s="6">
        <v>0.56</v>
      </c>
      <c r="D8" t="s">
        <v>3</v>
      </c>
      <c r="F8" t="s">
        <v>32</v>
      </c>
      <c r="H8" s="5">
        <v>6</v>
      </c>
      <c r="I8" t="s">
        <v>37</v>
      </c>
      <c r="L8" t="s">
        <v>58</v>
      </c>
      <c r="M8" s="10">
        <v>10</v>
      </c>
      <c r="N8" t="s">
        <v>59</v>
      </c>
    </row>
    <row r="10" spans="2:14" ht="12.75">
      <c r="B10" t="s">
        <v>13</v>
      </c>
      <c r="C10" s="7">
        <v>3160</v>
      </c>
      <c r="D10" t="s">
        <v>14</v>
      </c>
      <c r="F10" t="s">
        <v>18</v>
      </c>
      <c r="H10" s="5">
        <v>10</v>
      </c>
      <c r="I10" t="s">
        <v>38</v>
      </c>
      <c r="L10" t="s">
        <v>60</v>
      </c>
      <c r="M10" s="5">
        <v>20</v>
      </c>
      <c r="N10" t="s">
        <v>61</v>
      </c>
    </row>
    <row r="13" spans="2:15" ht="12.75">
      <c r="B13" t="s">
        <v>62</v>
      </c>
      <c r="C13" s="2">
        <f>(((C4-C6)+(C6/2))/(C4-C6))*C15</f>
        <v>89.85228637270237</v>
      </c>
      <c r="D13" t="s">
        <v>2</v>
      </c>
      <c r="F13" t="s">
        <v>19</v>
      </c>
      <c r="H13" s="1">
        <f>EXP(C17/(C10/100))</f>
        <v>2.5022135082345964</v>
      </c>
      <c r="L13" t="s">
        <v>23</v>
      </c>
      <c r="N13" s="2">
        <f>H17-H19-H21-H23</f>
        <v>19.94692279709996</v>
      </c>
      <c r="O13" t="s">
        <v>8</v>
      </c>
    </row>
    <row r="15" spans="2:15" ht="12.75">
      <c r="B15" t="s">
        <v>34</v>
      </c>
      <c r="C15" s="2">
        <f>2*SQRT((C4-C6)*150000000000/(C8/100))/86400</f>
        <v>59.90152424846824</v>
      </c>
      <c r="D15" t="s">
        <v>2</v>
      </c>
      <c r="F15" t="s">
        <v>28</v>
      </c>
      <c r="H15" s="2">
        <f>H4-H17</f>
        <v>150.0884620048334</v>
      </c>
      <c r="I15" t="s">
        <v>8</v>
      </c>
      <c r="L15" t="s">
        <v>39</v>
      </c>
      <c r="N15" s="3">
        <f>H34*(C15*24)/1000</f>
        <v>20.815602030492563</v>
      </c>
      <c r="O15" t="s">
        <v>40</v>
      </c>
    </row>
    <row r="17" spans="2:15" ht="12.75">
      <c r="B17" t="s">
        <v>5</v>
      </c>
      <c r="C17" s="2">
        <f>(C8*C15*86400)/100000</f>
        <v>28.982753492378876</v>
      </c>
      <c r="D17" t="s">
        <v>7</v>
      </c>
      <c r="F17" t="s">
        <v>20</v>
      </c>
      <c r="H17" s="2">
        <f>H4/H13</f>
        <v>99.9115379951666</v>
      </c>
      <c r="I17" t="s">
        <v>8</v>
      </c>
      <c r="L17" t="s">
        <v>42</v>
      </c>
      <c r="N17" s="4">
        <f>N15*(M4/100)</f>
        <v>4.163120406098513</v>
      </c>
      <c r="O17" t="s">
        <v>41</v>
      </c>
    </row>
    <row r="19" spans="2:15" ht="12.75">
      <c r="B19" t="s">
        <v>6</v>
      </c>
      <c r="C19" s="2">
        <f>C17/2</f>
        <v>14.491376746189438</v>
      </c>
      <c r="D19" t="s">
        <v>7</v>
      </c>
      <c r="F19" t="s">
        <v>21</v>
      </c>
      <c r="H19" s="2">
        <f>H17*H6/100</f>
        <v>49.9557689975833</v>
      </c>
      <c r="I19" t="s">
        <v>8</v>
      </c>
      <c r="L19" t="s">
        <v>45</v>
      </c>
      <c r="N19" s="4">
        <f>TRUNC(1000*(N17/N13))</f>
        <v>208</v>
      </c>
      <c r="O19" t="s">
        <v>43</v>
      </c>
    </row>
    <row r="20" spans="3:12" ht="12.75">
      <c r="C20" s="1"/>
      <c r="H20" s="2"/>
      <c r="L20" t="s">
        <v>44</v>
      </c>
    </row>
    <row r="21" spans="2:9" ht="12.75">
      <c r="B21" t="s">
        <v>30</v>
      </c>
      <c r="C21" s="1">
        <f>(H26/H4)*C8</f>
        <v>0.3665580531312773</v>
      </c>
      <c r="D21" t="s">
        <v>3</v>
      </c>
      <c r="F21" t="s">
        <v>31</v>
      </c>
      <c r="H21" s="2">
        <f>(H8/100)*H4</f>
        <v>15</v>
      </c>
      <c r="I21" t="s">
        <v>8</v>
      </c>
    </row>
    <row r="22" spans="3:8" ht="12.75">
      <c r="C22" s="1"/>
      <c r="H22" s="2"/>
    </row>
    <row r="23" spans="2:15" ht="12.75">
      <c r="B23" t="s">
        <v>29</v>
      </c>
      <c r="C23" s="1">
        <f>(H26/H17)*C8</f>
        <v>0.917206512097257</v>
      </c>
      <c r="D23" t="s">
        <v>3</v>
      </c>
      <c r="F23" t="s">
        <v>22</v>
      </c>
      <c r="H23" s="2">
        <f>(H10/100)*(H4-H17)</f>
        <v>15.00884620048334</v>
      </c>
      <c r="I23" t="s">
        <v>8</v>
      </c>
      <c r="L23" t="s">
        <v>56</v>
      </c>
      <c r="N23" s="2">
        <f>H19+H21+H23</f>
        <v>79.96461519806664</v>
      </c>
      <c r="O23" t="s">
        <v>8</v>
      </c>
    </row>
    <row r="24" spans="8:12" ht="12.75">
      <c r="H24" s="2"/>
      <c r="L24" t="s">
        <v>57</v>
      </c>
    </row>
    <row r="25" ht="12.75">
      <c r="H25" s="2"/>
    </row>
    <row r="26" spans="3:14" ht="12.75">
      <c r="C26" s="1"/>
      <c r="F26" t="s">
        <v>35</v>
      </c>
      <c r="H26" s="2">
        <f>H30*100/C8</f>
        <v>163.64198800503448</v>
      </c>
      <c r="I26" t="s">
        <v>8</v>
      </c>
      <c r="L26" t="s">
        <v>63</v>
      </c>
      <c r="N26" s="2">
        <f>N13/M6</f>
        <v>3.9893845594199915</v>
      </c>
    </row>
    <row r="28" spans="6:15" ht="12.75">
      <c r="F28" t="s">
        <v>27</v>
      </c>
      <c r="H28" s="1">
        <f>(1000*(H4-H17))/(C15*86400)</f>
        <v>0.02899984597557573</v>
      </c>
      <c r="I28" t="s">
        <v>15</v>
      </c>
      <c r="L28" t="s">
        <v>47</v>
      </c>
      <c r="N28" s="4">
        <f>(1000*(H17*(M8*M10/100))/N26)*(C13/365.25)</f>
        <v>12321.927398766726</v>
      </c>
      <c r="O28" t="s">
        <v>43</v>
      </c>
    </row>
    <row r="30" spans="6:15" ht="12.75">
      <c r="F30" t="s">
        <v>9</v>
      </c>
      <c r="H30" s="1">
        <f>(C10*H28)/100</f>
        <v>0.9163951328281931</v>
      </c>
      <c r="I30" t="s">
        <v>11</v>
      </c>
      <c r="L30" t="s">
        <v>48</v>
      </c>
      <c r="N30" s="4">
        <f>1000*(N17/N26)</f>
        <v>1043.5495360476807</v>
      </c>
      <c r="O30" t="s">
        <v>43</v>
      </c>
    </row>
    <row r="32" spans="6:15" ht="12.75">
      <c r="F32" t="s">
        <v>24</v>
      </c>
      <c r="H32" s="1">
        <f>(((10*C10)^2/2)/(10*C10)/1000000)</f>
        <v>0.0158</v>
      </c>
      <c r="I32" t="s">
        <v>10</v>
      </c>
      <c r="L32" t="s">
        <v>46</v>
      </c>
      <c r="M32" s="2"/>
      <c r="N32" s="4">
        <f>N28+N30</f>
        <v>13365.476934814407</v>
      </c>
      <c r="O32" t="s">
        <v>43</v>
      </c>
    </row>
    <row r="34" spans="6:15" ht="12.75">
      <c r="F34" t="s">
        <v>25</v>
      </c>
      <c r="H34" s="1">
        <f>H30*H32*1000</f>
        <v>14.479043098685453</v>
      </c>
      <c r="I34" t="s">
        <v>64</v>
      </c>
      <c r="L34" t="s">
        <v>54</v>
      </c>
      <c r="N34">
        <f>M6*4</f>
        <v>20</v>
      </c>
      <c r="O34" t="s">
        <v>53</v>
      </c>
    </row>
    <row r="36" spans="6:9" ht="12.75">
      <c r="F36" t="s">
        <v>26</v>
      </c>
      <c r="H36" s="1">
        <f>1*(H34/H19)</f>
        <v>0.28983725782273323</v>
      </c>
      <c r="I3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O36"/>
  <sheetViews>
    <sheetView zoomScalePageLayoutView="0" workbookViewId="0" topLeftCell="A1">
      <selection activeCell="A11" sqref="A11"/>
    </sheetView>
  </sheetViews>
  <sheetFormatPr defaultColWidth="9.140625" defaultRowHeight="12.75"/>
  <sheetData>
    <row r="2" spans="5:6" ht="12.75">
      <c r="E2" s="8" t="s">
        <v>65</v>
      </c>
      <c r="F2" s="9"/>
    </row>
    <row r="4" spans="2:14" ht="12.75">
      <c r="B4" t="s">
        <v>0</v>
      </c>
      <c r="C4" s="6">
        <v>2</v>
      </c>
      <c r="D4" t="s">
        <v>4</v>
      </c>
      <c r="F4" t="s">
        <v>16</v>
      </c>
      <c r="H4" s="5">
        <v>250</v>
      </c>
      <c r="I4" t="s">
        <v>8</v>
      </c>
      <c r="L4" t="s">
        <v>49</v>
      </c>
      <c r="M4" s="5">
        <v>20</v>
      </c>
      <c r="N4" t="s">
        <v>50</v>
      </c>
    </row>
    <row r="6" spans="2:14" ht="12.75">
      <c r="B6" t="s">
        <v>33</v>
      </c>
      <c r="C6" s="6">
        <v>1</v>
      </c>
      <c r="D6" t="s">
        <v>4</v>
      </c>
      <c r="F6" t="s">
        <v>17</v>
      </c>
      <c r="H6" s="5">
        <v>30</v>
      </c>
      <c r="I6" t="s">
        <v>36</v>
      </c>
      <c r="L6" t="s">
        <v>51</v>
      </c>
      <c r="M6" s="5">
        <v>5</v>
      </c>
      <c r="N6" t="s">
        <v>52</v>
      </c>
    </row>
    <row r="8" spans="2:14" ht="12.75">
      <c r="B8" t="s">
        <v>1</v>
      </c>
      <c r="C8" s="6">
        <v>0.56</v>
      </c>
      <c r="D8" t="s">
        <v>3</v>
      </c>
      <c r="F8" t="s">
        <v>32</v>
      </c>
      <c r="H8" s="5">
        <v>6</v>
      </c>
      <c r="I8" t="s">
        <v>37</v>
      </c>
      <c r="L8" t="s">
        <v>58</v>
      </c>
      <c r="M8" s="10">
        <v>10</v>
      </c>
      <c r="N8" t="s">
        <v>59</v>
      </c>
    </row>
    <row r="10" spans="2:14" ht="12.75">
      <c r="B10" t="s">
        <v>13</v>
      </c>
      <c r="C10" s="7">
        <v>6320</v>
      </c>
      <c r="D10" t="s">
        <v>14</v>
      </c>
      <c r="F10" t="s">
        <v>18</v>
      </c>
      <c r="H10" s="5">
        <v>10</v>
      </c>
      <c r="I10" t="s">
        <v>38</v>
      </c>
      <c r="L10" t="s">
        <v>60</v>
      </c>
      <c r="M10" s="5">
        <v>20</v>
      </c>
      <c r="N10" t="s">
        <v>61</v>
      </c>
    </row>
    <row r="13" spans="2:15" ht="12.75">
      <c r="B13" t="s">
        <v>62</v>
      </c>
      <c r="C13" s="2">
        <f>(((C4-C6)+(C6/2))/(C4-C6))*C15</f>
        <v>179.70457274540473</v>
      </c>
      <c r="D13" t="s">
        <v>2</v>
      </c>
      <c r="F13" t="s">
        <v>19</v>
      </c>
      <c r="H13" s="1">
        <f>EXP(C17/(C10/100))</f>
        <v>2.5022135082345964</v>
      </c>
      <c r="L13" t="s">
        <v>23</v>
      </c>
      <c r="N13" s="2">
        <f>H17-H19-H21-H23</f>
        <v>39.92923039613327</v>
      </c>
      <c r="O13" t="s">
        <v>8</v>
      </c>
    </row>
    <row r="15" spans="2:15" ht="12.75">
      <c r="B15" t="s">
        <v>34</v>
      </c>
      <c r="C15" s="2">
        <f>2*SQRT((C4-C6)*150000000000/(C8/100))/86400</f>
        <v>119.80304849693648</v>
      </c>
      <c r="D15" t="s">
        <v>2</v>
      </c>
      <c r="F15" t="s">
        <v>28</v>
      </c>
      <c r="H15" s="2">
        <f>H4-H17</f>
        <v>150.0884620048334</v>
      </c>
      <c r="I15" t="s">
        <v>8</v>
      </c>
      <c r="L15" t="s">
        <v>39</v>
      </c>
      <c r="N15" s="3">
        <f>H34*(C15*24)/1000</f>
        <v>83.26240812197025</v>
      </c>
      <c r="O15" t="s">
        <v>40</v>
      </c>
    </row>
    <row r="17" spans="2:15" ht="12.75">
      <c r="B17" t="s">
        <v>5</v>
      </c>
      <c r="C17" s="2">
        <f>(C8*C15*86400)/100000</f>
        <v>57.96550698475775</v>
      </c>
      <c r="D17" t="s">
        <v>7</v>
      </c>
      <c r="F17" t="s">
        <v>20</v>
      </c>
      <c r="H17" s="2">
        <f>H4/H13</f>
        <v>99.9115379951666</v>
      </c>
      <c r="I17" t="s">
        <v>8</v>
      </c>
      <c r="L17" t="s">
        <v>42</v>
      </c>
      <c r="N17" s="4">
        <f>N15*(M4/100)</f>
        <v>16.652481624394053</v>
      </c>
      <c r="O17" t="s">
        <v>41</v>
      </c>
    </row>
    <row r="19" spans="2:15" ht="12.75">
      <c r="B19" t="s">
        <v>6</v>
      </c>
      <c r="C19" s="2">
        <f>C17/2</f>
        <v>28.982753492378876</v>
      </c>
      <c r="D19" t="s">
        <v>7</v>
      </c>
      <c r="F19" t="s">
        <v>21</v>
      </c>
      <c r="H19" s="2">
        <f>H17*H6/100</f>
        <v>29.97346139854998</v>
      </c>
      <c r="I19" t="s">
        <v>8</v>
      </c>
      <c r="L19" t="s">
        <v>45</v>
      </c>
      <c r="N19" s="4">
        <f>TRUNC(1000*(N17/N13))</f>
        <v>417</v>
      </c>
      <c r="O19" t="s">
        <v>43</v>
      </c>
    </row>
    <row r="20" spans="3:12" ht="12.75">
      <c r="C20" s="1"/>
      <c r="H20" s="2"/>
      <c r="L20" t="s">
        <v>44</v>
      </c>
    </row>
    <row r="21" spans="2:9" ht="12.75">
      <c r="B21" t="s">
        <v>30</v>
      </c>
      <c r="C21" s="1">
        <f>(H26/H4)*C8</f>
        <v>0.3665580531312773</v>
      </c>
      <c r="D21" t="s">
        <v>3</v>
      </c>
      <c r="F21" t="s">
        <v>31</v>
      </c>
      <c r="H21" s="2">
        <f>(H8/100)*H4</f>
        <v>15</v>
      </c>
      <c r="I21" t="s">
        <v>8</v>
      </c>
    </row>
    <row r="22" spans="3:8" ht="12.75">
      <c r="C22" s="1"/>
      <c r="H22" s="2"/>
    </row>
    <row r="23" spans="2:15" ht="12.75">
      <c r="B23" t="s">
        <v>29</v>
      </c>
      <c r="C23" s="1">
        <f>(H26/H17)*C8</f>
        <v>0.917206512097257</v>
      </c>
      <c r="D23" t="s">
        <v>3</v>
      </c>
      <c r="F23" t="s">
        <v>22</v>
      </c>
      <c r="H23" s="2">
        <f>(H10/100)*(H4-H17)</f>
        <v>15.00884620048334</v>
      </c>
      <c r="I23" t="s">
        <v>8</v>
      </c>
      <c r="L23" t="s">
        <v>56</v>
      </c>
      <c r="N23" s="2">
        <f>H19+H21+H23</f>
        <v>59.98230759903332</v>
      </c>
      <c r="O23" t="s">
        <v>8</v>
      </c>
    </row>
    <row r="24" spans="8:12" ht="12.75">
      <c r="H24" s="2"/>
      <c r="L24" t="s">
        <v>57</v>
      </c>
    </row>
    <row r="25" ht="12.75">
      <c r="H25" s="2"/>
    </row>
    <row r="26" spans="3:14" ht="12.75">
      <c r="C26" s="1"/>
      <c r="F26" t="s">
        <v>35</v>
      </c>
      <c r="H26" s="2">
        <f>H30*100/C8</f>
        <v>163.64198800503448</v>
      </c>
      <c r="I26" t="s">
        <v>8</v>
      </c>
      <c r="L26" t="s">
        <v>63</v>
      </c>
      <c r="N26" s="2">
        <f>N13/M6</f>
        <v>7.985846079226654</v>
      </c>
    </row>
    <row r="28" spans="6:15" ht="12.75">
      <c r="F28" t="s">
        <v>27</v>
      </c>
      <c r="H28" s="1">
        <f>(1000*(H4-H17))/(C15*86400)</f>
        <v>0.014499922987787866</v>
      </c>
      <c r="I28" t="s">
        <v>15</v>
      </c>
      <c r="L28" t="s">
        <v>47</v>
      </c>
      <c r="N28" s="4">
        <f>(1000*(H17*(M8*M10/100))/N26)*(C13/365.25)</f>
        <v>12311.007855461809</v>
      </c>
      <c r="O28" t="s">
        <v>43</v>
      </c>
    </row>
    <row r="30" spans="6:15" ht="12.75">
      <c r="F30" t="s">
        <v>9</v>
      </c>
      <c r="H30" s="1">
        <f>(C10*H28)/100</f>
        <v>0.9163951328281931</v>
      </c>
      <c r="I30" t="s">
        <v>11</v>
      </c>
      <c r="L30" t="s">
        <v>48</v>
      </c>
      <c r="N30" s="4">
        <f>1000*(N17/N26)</f>
        <v>2085.249510094073</v>
      </c>
      <c r="O30" t="s">
        <v>43</v>
      </c>
    </row>
    <row r="32" spans="6:15" ht="12.75">
      <c r="F32" t="s">
        <v>24</v>
      </c>
      <c r="H32" s="1">
        <f>(((10*C10)^2/2)/(10*C10)/1000000)</f>
        <v>0.0316</v>
      </c>
      <c r="I32" t="s">
        <v>10</v>
      </c>
      <c r="L32" t="s">
        <v>46</v>
      </c>
      <c r="M32" s="2"/>
      <c r="N32" s="4">
        <f>N28+N30</f>
        <v>14396.25736555588</v>
      </c>
      <c r="O32" t="s">
        <v>43</v>
      </c>
    </row>
    <row r="34" spans="6:15" ht="12.75">
      <c r="F34" t="s">
        <v>25</v>
      </c>
      <c r="H34" s="1">
        <f>H30*H32*1000</f>
        <v>28.958086197370907</v>
      </c>
      <c r="I34" t="s">
        <v>64</v>
      </c>
      <c r="L34" t="s">
        <v>54</v>
      </c>
      <c r="N34">
        <f>M6*4</f>
        <v>20</v>
      </c>
      <c r="O34" t="s">
        <v>53</v>
      </c>
    </row>
    <row r="36" spans="6:9" ht="12.75">
      <c r="F36" t="s">
        <v>26</v>
      </c>
      <c r="H36" s="1">
        <f>1*(H34/H19)</f>
        <v>0.9661241927424441</v>
      </c>
      <c r="I36" t="s">
        <v>12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Robinson</dc:creator>
  <cp:keywords/>
  <dc:description/>
  <cp:lastModifiedBy>Rick Robinson</cp:lastModifiedBy>
  <dcterms:created xsi:type="dcterms:W3CDTF">2010-06-26T23:22:43Z</dcterms:created>
  <dcterms:modified xsi:type="dcterms:W3CDTF">2011-08-19T03:02:06Z</dcterms:modified>
  <cp:category/>
  <cp:version/>
  <cp:contentType/>
  <cp:contentStatus/>
</cp:coreProperties>
</file>